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Екайкин\Documents\Models\SIM Salamatin\Matlab version\"/>
    </mc:Choice>
  </mc:AlternateContent>
  <xr:revisionPtr revIDLastSave="0" documentId="13_ncr:1_{5E7C85BB-2E0D-43C4-A249-CC7BE51AF4DD}" xr6:coauthVersionLast="36" xr6:coauthVersionMax="36" xr10:uidLastSave="{00000000-0000-0000-0000-000000000000}"/>
  <bookViews>
    <workbookView xWindow="0" yWindow="0" windowWidth="19200" windowHeight="6230" xr2:uid="{40F9F59D-9A84-48BB-A6A8-4C075B3CC8B4}"/>
  </bookViews>
  <sheets>
    <sheet name="input" sheetId="1" r:id="rId1"/>
    <sheet name="fractionation coef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3" i="1" l="1"/>
  <c r="H66" i="1"/>
  <c r="B72" i="1" l="1"/>
  <c r="B22" i="2" l="1"/>
  <c r="B20" i="2"/>
  <c r="B21" i="2"/>
  <c r="B16" i="2"/>
  <c r="B18" i="2"/>
  <c r="B17" i="2"/>
  <c r="B10" i="2" l="1"/>
  <c r="B32" i="1" l="1"/>
  <c r="B31" i="1"/>
  <c r="B36" i="1"/>
  <c r="B35" i="1"/>
  <c r="B34" i="1"/>
  <c r="B33" i="1"/>
  <c r="B13" i="2"/>
  <c r="B30" i="1" s="1"/>
  <c r="B12" i="2"/>
  <c r="B29" i="1" s="1"/>
  <c r="B27" i="1" l="1"/>
  <c r="B9" i="2"/>
  <c r="B26" i="1" s="1"/>
  <c r="B8" i="2"/>
  <c r="B25" i="1" s="1"/>
  <c r="B6" i="2"/>
  <c r="B24" i="1" s="1"/>
  <c r="B5" i="2"/>
  <c r="B23" i="1" s="1"/>
  <c r="B4" i="2"/>
  <c r="B22" i="1" s="1"/>
</calcChain>
</file>

<file path=xl/sharedStrings.xml><?xml version="1.0" encoding="utf-8"?>
<sst xmlns="http://schemas.openxmlformats.org/spreadsheetml/2006/main" count="177" uniqueCount="133">
  <si>
    <t>БЛОК 1. УСЛОВИЯ В ИСТОЧНИКЕ ВЛАГИ</t>
  </si>
  <si>
    <t>Переменная</t>
  </si>
  <si>
    <t>Цифровая кодировка:</t>
  </si>
  <si>
    <t>teta_s</t>
  </si>
  <si>
    <t>ячейки, куда нужно подставлять значения</t>
  </si>
  <si>
    <t>ячейки, которые нельзя трогать</t>
  </si>
  <si>
    <t xml:space="preserve">NB: названия переменных соответствуют таковым в статье Salamatin et al., 2004 </t>
  </si>
  <si>
    <t>(кроме тех, которые относятся к кислороду 17)</t>
  </si>
  <si>
    <r>
      <t xml:space="preserve">температура поверхности моря в источнике влаги, </t>
    </r>
    <r>
      <rPr>
        <sz val="11"/>
        <color theme="1"/>
        <rFont val="Calibri"/>
        <family val="2"/>
        <charset val="204"/>
      </rPr>
      <t>°С</t>
    </r>
  </si>
  <si>
    <t>H_s0</t>
  </si>
  <si>
    <t>k_18O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</si>
  <si>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charset val="204"/>
        <scheme val="minor"/>
      </rPr>
      <t>m_18O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</si>
  <si>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charset val="204"/>
        <scheme val="minor"/>
      </rPr>
      <t>m_D</t>
    </r>
  </si>
  <si>
    <t>относительная влажность воздуха в источнике влаги (доли единицы)</t>
  </si>
  <si>
    <t>изотопный состав (кислород 18) морской воды, промилле</t>
  </si>
  <si>
    <t>изотопный состав (дейтерий) морской воды, промилле</t>
  </si>
  <si>
    <t>кинетический фактор для кислорода 18, безразмерный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</si>
  <si>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charset val="204"/>
        <scheme val="minor"/>
      </rPr>
      <t>m_17O</t>
    </r>
  </si>
  <si>
    <t>изотопный состав (кислород 17) морской воды, промилле</t>
  </si>
  <si>
    <t>кинетический фактор для дейтерия, безразмерный. NB: принимается, что k_D / k_18O = 0,88</t>
  </si>
  <si>
    <t>L_18O</t>
  </si>
  <si>
    <t>циркуляционное отношение влаги (учитывает отношение количества влаги, приходящей к источнику влаги, к количеству влаги, покидающей источник, а также отношение изотопных составов этой влаги)</t>
  </si>
  <si>
    <t>то же для дейтерия; NB: для дейтерия этот параметр должен быть приблизительно в 8 раз больше, чем для кислорода 18</t>
  </si>
  <si>
    <t>то же для кислорода 17; NB: для кислорода 17 этот параметр должен быть приблизительно в 2 раза меньше, чем для кислорода 18</t>
  </si>
  <si>
    <t>bT</t>
  </si>
  <si>
    <t>линейный коэффициент зависимости между влажностью и температурой</t>
  </si>
  <si>
    <t>Значение</t>
  </si>
  <si>
    <t>Пояснение</t>
  </si>
  <si>
    <t>БЛОК 2. РАВНОВЕСНЫЕ КОЭФФИЦИЕНТЫ ФРАКЦИОНИРОВАНИЯ</t>
  </si>
  <si>
    <t>Вставь в ячейку ниже название источника</t>
  </si>
  <si>
    <t>Majoube71</t>
  </si>
  <si>
    <t>Доступны следующие варианты:</t>
  </si>
  <si>
    <t>К-ты фракционирования для системы пар-вода</t>
  </si>
  <si>
    <t>для кислорода 18</t>
  </si>
  <si>
    <t>для дейтерия</t>
  </si>
  <si>
    <t>teta_s0</t>
  </si>
  <si>
    <t xml:space="preserve">Коэффициенты уравнения A/T^2 - B/T - C для </t>
  </si>
  <si>
    <t>То же для дейтерия, только тут A/T^2 - B/T + C</t>
  </si>
  <si>
    <t>для системы пар-вода (T в Кельвинах)</t>
  </si>
  <si>
    <t>n</t>
  </si>
  <si>
    <r>
      <t xml:space="preserve">коэффициент, связывающий </t>
    </r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charset val="204"/>
        <scheme val="minor"/>
      </rPr>
      <t xml:space="preserve"> для кислорода 17 и 18</t>
    </r>
  </si>
  <si>
    <t>кинетический фактор для кислорода 17, безразмерный. Примерно вдвое меньше, чем для кислорода 18 (k17 = 0,518 k18)</t>
  </si>
  <si>
    <t>вычисления к-тов фракционирования (ln(alfa))</t>
  </si>
  <si>
    <t>A18 v_l</t>
  </si>
  <si>
    <t>B18 v_l</t>
  </si>
  <si>
    <t>C18 v_l</t>
  </si>
  <si>
    <t>AD v_l</t>
  </si>
  <si>
    <t>BD v_l</t>
  </si>
  <si>
    <t>CD v_l</t>
  </si>
  <si>
    <t>AD scl_v</t>
  </si>
  <si>
    <t>C scl_v</t>
  </si>
  <si>
    <t>Merlivat&amp;Nief</t>
  </si>
  <si>
    <t xml:space="preserve">Коэффициенты уравнения A/T^2 - C для </t>
  </si>
  <si>
    <t>системы "переохлажденная жидкость - пар" (только D)</t>
  </si>
  <si>
    <t>К-ты фракционирования для системы пар - переохлажденная вода (только дейтерий)</t>
  </si>
  <si>
    <t>A18 v_i</t>
  </si>
  <si>
    <t>B18 v_i</t>
  </si>
  <si>
    <t>C18 v_i</t>
  </si>
  <si>
    <t xml:space="preserve">Коэффициенты уравнения A/T^2 - B/T + C для </t>
  </si>
  <si>
    <t>Ellehoj13</t>
  </si>
  <si>
    <t>AD v_i</t>
  </si>
  <si>
    <t>BD v_i</t>
  </si>
  <si>
    <t>CD v_i</t>
  </si>
  <si>
    <t>системы "лёд - пар", для кислорода 18</t>
  </si>
  <si>
    <t>То же для дейтерия</t>
  </si>
  <si>
    <t>К-ты фракционирования для системы пар - лёд</t>
  </si>
  <si>
    <t>БЛОК 3. ПАРАМЕТРЫ ТРАЕКТОРИИ</t>
  </si>
  <si>
    <t>длина траектории, км</t>
  </si>
  <si>
    <t>g</t>
  </si>
  <si>
    <t>кривизна траектории, безразмерно (чем больше кривизна, тем более выпуклая траектория; при оч. Малых значениях - прямая линия; при отрицательных - вогнутая)</t>
  </si>
  <si>
    <t>S_d</t>
  </si>
  <si>
    <t>E_d</t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</si>
  <si>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charset val="204"/>
        <scheme val="minor"/>
      </rPr>
      <t>E</t>
    </r>
  </si>
  <si>
    <t>вертикальный градиент температуры, *С/км</t>
  </si>
  <si>
    <t>T_d</t>
  </si>
  <si>
    <t>температура конденсации в конце траектории, *С</t>
  </si>
  <si>
    <t>p_sl</t>
  </si>
  <si>
    <t>давление на уровне моря в начале траектории, МПа</t>
  </si>
  <si>
    <t>БЛОК 4. ОСАДКООБРАЗОВАНИЕ В ОБЛАКАХ</t>
  </si>
  <si>
    <t>L0</t>
  </si>
  <si>
    <t>Nu</t>
  </si>
  <si>
    <t>T_w</t>
  </si>
  <si>
    <t>T_i</t>
  </si>
  <si>
    <t>содержание жидкой воды в облаках (отношение молей жидкости к молям водяного пара), при котором начинается осадкообразование</t>
  </si>
  <si>
    <t>высота траектории в её конце, м (на некоторой высоте от поверхности ледника)</t>
  </si>
  <si>
    <t>БЛОК 5. ДАВЛЕНИЕ НАСЫЩЕНИЯ - ФОРМУЛЫ МАГНУСА</t>
  </si>
  <si>
    <t>A_w</t>
  </si>
  <si>
    <t>B_w</t>
  </si>
  <si>
    <t>A_i</t>
  </si>
  <si>
    <t>B_i</t>
  </si>
  <si>
    <t>над водой</t>
  </si>
  <si>
    <t>надо льдом</t>
  </si>
  <si>
    <t>уравнение Магнуса вида pe = 610,6 e(A T / (B + T))</t>
  </si>
  <si>
    <t>связывает давление насыщения водяного пара pe</t>
  </si>
  <si>
    <t>с температурой воздуха Т (*С)</t>
  </si>
  <si>
    <t>sigma0</t>
  </si>
  <si>
    <t>CD scl_v</t>
  </si>
  <si>
    <t>БЛОК 6. ДИФФУЗИЯ МОЛЕКУЛ В ВОЗДУХЕ</t>
  </si>
  <si>
    <t>Dif_18O</t>
  </si>
  <si>
    <t>Dif_D</t>
  </si>
  <si>
    <t>Dif_17O</t>
  </si>
  <si>
    <t>Физические пределы</t>
  </si>
  <si>
    <t>Задаваемый диапазон</t>
  </si>
  <si>
    <t>От</t>
  </si>
  <si>
    <t>До</t>
  </si>
  <si>
    <t>Реальные пределы</t>
  </si>
  <si>
    <t>k_D / k_18O</t>
  </si>
  <si>
    <t>?</t>
  </si>
  <si>
    <t>k_17O / k_18O</t>
  </si>
  <si>
    <r>
      <t>L_</t>
    </r>
    <r>
      <rPr>
        <sz val="11"/>
        <color theme="1"/>
        <rFont val="Calibri"/>
        <family val="2"/>
        <charset val="204"/>
        <scheme val="minor"/>
      </rPr>
      <t>D</t>
    </r>
    <r>
      <rPr>
        <sz val="11"/>
        <color theme="1"/>
        <rFont val="Symbol"/>
        <family val="1"/>
        <charset val="2"/>
      </rPr>
      <t xml:space="preserve"> / L_18O</t>
    </r>
  </si>
  <si>
    <t>L_17O / L_18O</t>
  </si>
  <si>
    <t>БЛОК 7. ЦЕЛЕВЫЕ ПОКАЗАТЕЛИ:</t>
  </si>
  <si>
    <t>d18O</t>
  </si>
  <si>
    <t>dD</t>
  </si>
  <si>
    <t>dxs</t>
  </si>
  <si>
    <t>17O-excess</t>
  </si>
  <si>
    <t>Допуск</t>
  </si>
  <si>
    <t>промилле</t>
  </si>
  <si>
    <t>per meg</t>
  </si>
  <si>
    <t>±</t>
  </si>
  <si>
    <t>grad dD/T</t>
  </si>
  <si>
    <t>промилле/*С</t>
  </si>
  <si>
    <t>%</t>
  </si>
  <si>
    <t>grad dxs/dD</t>
  </si>
  <si>
    <t>безразм</t>
  </si>
  <si>
    <t>grad 17O-excess/dD</t>
  </si>
  <si>
    <t>per meg/промилле</t>
  </si>
  <si>
    <t>для Востока оптимально 0,017</t>
  </si>
  <si>
    <t>для Востока оптимально 8,8</t>
  </si>
  <si>
    <t>для Востока оптимально 0,51405</t>
  </si>
  <si>
    <t>dln</t>
  </si>
  <si>
    <t>не выше Ts</t>
  </si>
  <si>
    <t>не выше Tw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</si>
</sst>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b/>
      <sz val="11"/>
      <color rgb="FF7030A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0" fillId="3" borderId="0" xfId="0" applyFill="1"/>
    <xf numFmtId="0" fontId="4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Font="1"/>
    <xf numFmtId="49" fontId="0" fillId="0" borderId="0" xfId="0" applyNumberFormat="1"/>
    <xf numFmtId="0" fontId="5" fillId="0" borderId="0" xfId="0" applyFont="1"/>
    <xf numFmtId="0" fontId="2" fillId="0" borderId="0" xfId="0" applyFont="1"/>
    <xf numFmtId="164" fontId="0" fillId="4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6082C-95EB-4766-9AD8-BD932FECAA84}">
  <dimension ref="A1:Q77"/>
  <sheetViews>
    <sheetView tabSelected="1" workbookViewId="0">
      <pane ySplit="870" topLeftCell="A64" activePane="bottomLeft"/>
      <selection activeCell="D1" sqref="D1:D1048576"/>
      <selection pane="bottomLeft" activeCell="C75" sqref="C75"/>
    </sheetView>
  </sheetViews>
  <sheetFormatPr defaultRowHeight="14.5"/>
  <cols>
    <col min="1" max="1" width="18.08984375" customWidth="1"/>
    <col min="4" max="4" width="18" customWidth="1"/>
    <col min="10" max="10" width="12.6328125" customWidth="1"/>
  </cols>
  <sheetData>
    <row r="1" spans="1:17">
      <c r="A1" t="s">
        <v>0</v>
      </c>
      <c r="I1" t="s">
        <v>6</v>
      </c>
      <c r="P1" t="s">
        <v>2</v>
      </c>
    </row>
    <row r="2" spans="1:17">
      <c r="B2" t="s">
        <v>102</v>
      </c>
      <c r="E2" t="s">
        <v>101</v>
      </c>
      <c r="G2" t="s">
        <v>105</v>
      </c>
      <c r="I2" t="s">
        <v>7</v>
      </c>
      <c r="P2" s="1"/>
      <c r="Q2" t="s">
        <v>4</v>
      </c>
    </row>
    <row r="3" spans="1:17">
      <c r="A3" t="s">
        <v>1</v>
      </c>
      <c r="B3" t="s">
        <v>103</v>
      </c>
      <c r="C3" t="s">
        <v>104</v>
      </c>
      <c r="D3" t="s">
        <v>27</v>
      </c>
      <c r="E3" t="s">
        <v>103</v>
      </c>
      <c r="F3" t="s">
        <v>104</v>
      </c>
      <c r="G3" t="s">
        <v>103</v>
      </c>
      <c r="H3" t="s">
        <v>104</v>
      </c>
      <c r="P3" s="2"/>
      <c r="Q3" t="s">
        <v>5</v>
      </c>
    </row>
    <row r="4" spans="1:17">
      <c r="P4" s="2"/>
    </row>
    <row r="5" spans="1:17">
      <c r="A5" t="s">
        <v>3</v>
      </c>
      <c r="B5" s="5">
        <v>13</v>
      </c>
      <c r="C5" s="5">
        <v>20</v>
      </c>
      <c r="D5" t="s">
        <v>8</v>
      </c>
      <c r="E5">
        <v>0</v>
      </c>
      <c r="G5">
        <v>0</v>
      </c>
      <c r="H5">
        <v>30</v>
      </c>
    </row>
    <row r="6" spans="1:17">
      <c r="A6" t="s">
        <v>9</v>
      </c>
      <c r="B6" s="5">
        <v>0.7</v>
      </c>
      <c r="C6" s="5">
        <v>1</v>
      </c>
      <c r="D6" t="s">
        <v>13</v>
      </c>
      <c r="E6">
        <v>0</v>
      </c>
      <c r="F6">
        <v>1</v>
      </c>
      <c r="G6">
        <v>0.6</v>
      </c>
      <c r="H6">
        <v>1</v>
      </c>
    </row>
    <row r="7" spans="1:17">
      <c r="A7" t="s">
        <v>10</v>
      </c>
      <c r="B7" s="5">
        <v>5.0000000000000001E-3</v>
      </c>
      <c r="C7" s="5">
        <v>5.0000000000000001E-3</v>
      </c>
      <c r="D7" t="s">
        <v>16</v>
      </c>
      <c r="E7">
        <v>0</v>
      </c>
      <c r="F7">
        <v>0.03</v>
      </c>
      <c r="G7">
        <v>3.0000000000000001E-3</v>
      </c>
      <c r="H7">
        <v>7.0000000000000001E-3</v>
      </c>
    </row>
    <row r="8" spans="1:17">
      <c r="A8" t="s">
        <v>106</v>
      </c>
      <c r="B8" s="5">
        <v>0.88</v>
      </c>
      <c r="C8" s="5">
        <v>0.88</v>
      </c>
      <c r="D8" t="s">
        <v>19</v>
      </c>
      <c r="G8">
        <v>0.73</v>
      </c>
      <c r="H8">
        <v>1.06</v>
      </c>
    </row>
    <row r="9" spans="1:17">
      <c r="A9" t="s">
        <v>108</v>
      </c>
      <c r="B9" s="5">
        <v>0.51800000000000002</v>
      </c>
      <c r="C9" s="5">
        <v>0.51800000000000002</v>
      </c>
      <c r="D9" t="s">
        <v>41</v>
      </c>
      <c r="G9">
        <v>0.51800000000000002</v>
      </c>
      <c r="H9">
        <v>0.51800000000000002</v>
      </c>
    </row>
    <row r="10" spans="1:17">
      <c r="A10" s="3" t="s">
        <v>11</v>
      </c>
      <c r="B10" s="5">
        <v>0</v>
      </c>
      <c r="C10" s="5">
        <v>0</v>
      </c>
      <c r="D10" t="s">
        <v>14</v>
      </c>
      <c r="E10" s="7"/>
    </row>
    <row r="11" spans="1:17">
      <c r="A11" s="3" t="s">
        <v>12</v>
      </c>
      <c r="B11" s="5">
        <v>0</v>
      </c>
      <c r="C11" s="5">
        <v>0</v>
      </c>
      <c r="D11" t="s">
        <v>15</v>
      </c>
    </row>
    <row r="12" spans="1:17">
      <c r="A12" s="3" t="s">
        <v>17</v>
      </c>
      <c r="B12" s="5">
        <v>0</v>
      </c>
      <c r="C12" s="5">
        <v>0</v>
      </c>
      <c r="D12" t="s">
        <v>18</v>
      </c>
    </row>
    <row r="13" spans="1:17">
      <c r="A13" s="4" t="s">
        <v>20</v>
      </c>
      <c r="B13" s="5">
        <v>1.7000000000000001E-2</v>
      </c>
      <c r="C13" s="5">
        <v>1.7000000000000001E-2</v>
      </c>
      <c r="D13" t="s">
        <v>21</v>
      </c>
      <c r="E13">
        <v>0</v>
      </c>
      <c r="G13">
        <v>0.01</v>
      </c>
      <c r="H13">
        <v>0.02</v>
      </c>
      <c r="I13" t="s">
        <v>127</v>
      </c>
    </row>
    <row r="14" spans="1:17">
      <c r="A14" s="4" t="s">
        <v>109</v>
      </c>
      <c r="B14" s="5">
        <v>8.8000000000000007</v>
      </c>
      <c r="C14" s="5">
        <v>8.8000000000000007</v>
      </c>
      <c r="D14" t="s">
        <v>22</v>
      </c>
      <c r="E14">
        <v>0</v>
      </c>
      <c r="G14">
        <v>8</v>
      </c>
      <c r="H14">
        <v>9</v>
      </c>
      <c r="I14" t="s">
        <v>128</v>
      </c>
    </row>
    <row r="15" spans="1:17">
      <c r="A15" s="4" t="s">
        <v>110</v>
      </c>
      <c r="B15" s="5">
        <v>0.51405000000000001</v>
      </c>
      <c r="C15" s="5">
        <v>0.51405000000000001</v>
      </c>
      <c r="D15" t="s">
        <v>23</v>
      </c>
      <c r="E15">
        <v>0</v>
      </c>
      <c r="G15">
        <v>0.52800000000000002</v>
      </c>
      <c r="H15">
        <v>0.53200000000000003</v>
      </c>
      <c r="I15" t="s">
        <v>129</v>
      </c>
    </row>
    <row r="16" spans="1:17">
      <c r="A16" t="s">
        <v>35</v>
      </c>
      <c r="B16" s="5">
        <v>0.85</v>
      </c>
      <c r="C16" s="5">
        <v>0.85</v>
      </c>
    </row>
    <row r="17" spans="1:15">
      <c r="A17" s="4" t="s">
        <v>24</v>
      </c>
      <c r="B17" s="5">
        <v>-4.0000000000000001E-3</v>
      </c>
      <c r="C17" s="5">
        <v>-4.0000000000000001E-3</v>
      </c>
      <c r="D17" t="s">
        <v>25</v>
      </c>
    </row>
    <row r="19" spans="1:15">
      <c r="A19" s="6" t="s">
        <v>28</v>
      </c>
    </row>
    <row r="21" spans="1:15">
      <c r="A21" t="s">
        <v>1</v>
      </c>
      <c r="B21" t="s">
        <v>26</v>
      </c>
      <c r="D21" t="s">
        <v>27</v>
      </c>
      <c r="J21" t="s">
        <v>29</v>
      </c>
    </row>
    <row r="22" spans="1:15">
      <c r="A22" t="s">
        <v>43</v>
      </c>
      <c r="B22" s="2">
        <f>'fractionation coefs'!B4</f>
        <v>1137</v>
      </c>
      <c r="C22" s="2"/>
      <c r="D22" t="s">
        <v>36</v>
      </c>
      <c r="J22" s="5" t="s">
        <v>30</v>
      </c>
      <c r="K22" t="s">
        <v>31</v>
      </c>
      <c r="O22" t="s">
        <v>30</v>
      </c>
    </row>
    <row r="23" spans="1:15">
      <c r="A23" t="s">
        <v>44</v>
      </c>
      <c r="B23" s="2">
        <f>'fractionation coefs'!B5</f>
        <v>0.41560000000000002</v>
      </c>
      <c r="C23" s="2"/>
      <c r="D23" t="s">
        <v>42</v>
      </c>
    </row>
    <row r="24" spans="1:15">
      <c r="A24" t="s">
        <v>45</v>
      </c>
      <c r="B24" s="2">
        <f>'fractionation coefs'!B6</f>
        <v>2.0669999999999998E-3</v>
      </c>
      <c r="C24" s="2"/>
      <c r="D24" t="s">
        <v>38</v>
      </c>
    </row>
    <row r="25" spans="1:15">
      <c r="A25" t="s">
        <v>46</v>
      </c>
      <c r="B25" s="2">
        <f>'fractionation coefs'!B8</f>
        <v>24844</v>
      </c>
      <c r="C25" s="2"/>
      <c r="D25" t="s">
        <v>37</v>
      </c>
    </row>
    <row r="26" spans="1:15">
      <c r="A26" t="s">
        <v>47</v>
      </c>
      <c r="B26" s="2">
        <f>'fractionation coefs'!B9</f>
        <v>76.248000000000005</v>
      </c>
      <c r="C26" s="2"/>
    </row>
    <row r="27" spans="1:15">
      <c r="A27" t="s">
        <v>48</v>
      </c>
      <c r="B27" s="2">
        <f>'fractionation coefs'!B10</f>
        <v>0.05</v>
      </c>
      <c r="C27" s="2"/>
    </row>
    <row r="28" spans="1:15">
      <c r="A28" t="s">
        <v>39</v>
      </c>
      <c r="B28" s="5">
        <v>0.52900000000000003</v>
      </c>
      <c r="C28" s="5">
        <v>0.52900000000000003</v>
      </c>
      <c r="D28" t="s">
        <v>40</v>
      </c>
      <c r="E28" t="s">
        <v>107</v>
      </c>
      <c r="F28" t="s">
        <v>107</v>
      </c>
      <c r="G28">
        <v>0.52700000000000002</v>
      </c>
      <c r="H28">
        <v>0.53</v>
      </c>
    </row>
    <row r="29" spans="1:15">
      <c r="A29" t="s">
        <v>49</v>
      </c>
      <c r="B29" s="2">
        <f>'fractionation coefs'!B12</f>
        <v>15013</v>
      </c>
      <c r="C29" s="2"/>
      <c r="D29" t="s">
        <v>52</v>
      </c>
      <c r="J29" t="s">
        <v>29</v>
      </c>
    </row>
    <row r="30" spans="1:15">
      <c r="A30" t="s">
        <v>96</v>
      </c>
      <c r="B30" s="2">
        <f>'fractionation coefs'!B13</f>
        <v>9.7379999999999994E-2</v>
      </c>
      <c r="C30" s="2"/>
      <c r="D30" t="s">
        <v>53</v>
      </c>
      <c r="J30" s="5" t="s">
        <v>51</v>
      </c>
      <c r="K30" t="s">
        <v>31</v>
      </c>
      <c r="O30" t="s">
        <v>51</v>
      </c>
    </row>
    <row r="31" spans="1:15">
      <c r="A31" t="s">
        <v>55</v>
      </c>
      <c r="B31" s="2">
        <f>'fractionation coefs'!B16</f>
        <v>0</v>
      </c>
      <c r="C31" s="2"/>
      <c r="D31" t="s">
        <v>58</v>
      </c>
    </row>
    <row r="32" spans="1:15">
      <c r="A32" t="s">
        <v>56</v>
      </c>
      <c r="B32" s="2">
        <f>'fractionation coefs'!B17</f>
        <v>-11.839</v>
      </c>
      <c r="C32" s="2"/>
      <c r="D32" t="s">
        <v>63</v>
      </c>
      <c r="J32" t="s">
        <v>29</v>
      </c>
    </row>
    <row r="33" spans="1:15">
      <c r="A33" t="s">
        <v>57</v>
      </c>
      <c r="B33" s="2">
        <f>'fractionation coefs'!B18</f>
        <v>-2.8223999999999999E-2</v>
      </c>
      <c r="C33" s="2"/>
      <c r="J33" s="5" t="s">
        <v>51</v>
      </c>
      <c r="K33" t="s">
        <v>31</v>
      </c>
      <c r="O33" t="s">
        <v>59</v>
      </c>
    </row>
    <row r="34" spans="1:15">
      <c r="A34" t="s">
        <v>60</v>
      </c>
      <c r="B34" s="2">
        <f>'fractionation coefs'!B20</f>
        <v>16288</v>
      </c>
      <c r="C34" s="2"/>
      <c r="D34" t="s">
        <v>64</v>
      </c>
      <c r="O34" t="s">
        <v>51</v>
      </c>
    </row>
    <row r="35" spans="1:15">
      <c r="A35" t="s">
        <v>61</v>
      </c>
      <c r="B35" s="2">
        <f>'fractionation coefs'!B21</f>
        <v>0</v>
      </c>
      <c r="C35" s="2"/>
    </row>
    <row r="36" spans="1:15">
      <c r="A36" t="s">
        <v>62</v>
      </c>
      <c r="B36" s="2">
        <f>'fractionation coefs'!B22</f>
        <v>-9.4500000000000001E-2</v>
      </c>
      <c r="C36" s="2"/>
    </row>
    <row r="38" spans="1:15">
      <c r="A38" t="s">
        <v>66</v>
      </c>
    </row>
    <row r="40" spans="1:15">
      <c r="A40" t="s">
        <v>70</v>
      </c>
      <c r="B40" s="5">
        <v>6000</v>
      </c>
      <c r="C40" s="5"/>
      <c r="D40" t="s">
        <v>67</v>
      </c>
      <c r="E40">
        <v>0</v>
      </c>
    </row>
    <row r="41" spans="1:15">
      <c r="A41" t="s">
        <v>71</v>
      </c>
      <c r="B41" s="5">
        <v>4300</v>
      </c>
      <c r="C41" s="5"/>
      <c r="D41" t="s">
        <v>84</v>
      </c>
      <c r="E41">
        <v>0</v>
      </c>
    </row>
    <row r="42" spans="1:15">
      <c r="A42" s="4" t="s">
        <v>68</v>
      </c>
      <c r="B42" s="5">
        <v>-2.0000000000000002E-5</v>
      </c>
      <c r="C42" s="5">
        <v>-2.0000000000000002E-5</v>
      </c>
      <c r="D42" t="s">
        <v>69</v>
      </c>
      <c r="E42">
        <v>-0.01</v>
      </c>
      <c r="F42">
        <v>0.01</v>
      </c>
      <c r="G42">
        <v>-1.5E-3</v>
      </c>
      <c r="H42">
        <v>1.5E-3</v>
      </c>
    </row>
    <row r="43" spans="1:15">
      <c r="A43" s="3" t="s">
        <v>72</v>
      </c>
      <c r="B43" s="5">
        <v>7</v>
      </c>
      <c r="C43" s="5">
        <v>7</v>
      </c>
      <c r="D43" t="s">
        <v>73</v>
      </c>
      <c r="E43">
        <v>0</v>
      </c>
      <c r="G43">
        <v>5</v>
      </c>
      <c r="H43">
        <v>10</v>
      </c>
    </row>
    <row r="44" spans="1:15">
      <c r="A44" t="s">
        <v>74</v>
      </c>
      <c r="B44" s="5">
        <v>-46</v>
      </c>
      <c r="C44" s="5">
        <v>-40</v>
      </c>
      <c r="D44" t="s">
        <v>75</v>
      </c>
      <c r="E44" t="s">
        <v>131</v>
      </c>
    </row>
    <row r="45" spans="1:15">
      <c r="A45" t="s">
        <v>76</v>
      </c>
      <c r="B45" s="5">
        <v>0.1</v>
      </c>
      <c r="C45" s="5"/>
      <c r="D45" t="s">
        <v>77</v>
      </c>
      <c r="E45">
        <v>0</v>
      </c>
      <c r="G45">
        <v>0.1</v>
      </c>
      <c r="H45">
        <v>0.1</v>
      </c>
    </row>
    <row r="47" spans="1:15">
      <c r="A47" t="s">
        <v>78</v>
      </c>
    </row>
    <row r="49" spans="1:8">
      <c r="A49" t="s">
        <v>79</v>
      </c>
      <c r="B49" s="5">
        <v>0.01</v>
      </c>
      <c r="C49" s="5">
        <v>0.01</v>
      </c>
      <c r="D49" t="s">
        <v>83</v>
      </c>
      <c r="E49">
        <v>0</v>
      </c>
      <c r="F49">
        <v>1</v>
      </c>
      <c r="G49">
        <v>0</v>
      </c>
      <c r="H49">
        <v>0.2</v>
      </c>
    </row>
    <row r="50" spans="1:8">
      <c r="A50" t="s">
        <v>80</v>
      </c>
      <c r="B50" s="5">
        <v>0.5</v>
      </c>
      <c r="C50" s="5">
        <v>0.5</v>
      </c>
      <c r="E50">
        <v>0</v>
      </c>
      <c r="F50">
        <v>1</v>
      </c>
      <c r="G50">
        <v>0.5</v>
      </c>
      <c r="H50">
        <v>0.5</v>
      </c>
    </row>
    <row r="51" spans="1:8">
      <c r="A51" t="s">
        <v>95</v>
      </c>
      <c r="B51" s="5">
        <v>0.33300000000000002</v>
      </c>
      <c r="C51" s="5">
        <v>0.33300000000000002</v>
      </c>
      <c r="E51">
        <v>0</v>
      </c>
      <c r="F51">
        <v>1</v>
      </c>
      <c r="G51">
        <v>0.2</v>
      </c>
      <c r="H51">
        <v>0.6</v>
      </c>
    </row>
    <row r="52" spans="1:8">
      <c r="A52" t="s">
        <v>81</v>
      </c>
      <c r="B52" s="5">
        <v>-0.4</v>
      </c>
      <c r="C52" s="5">
        <v>-0.4</v>
      </c>
      <c r="F52">
        <v>0</v>
      </c>
      <c r="G52">
        <v>-5</v>
      </c>
      <c r="H52">
        <v>0</v>
      </c>
    </row>
    <row r="53" spans="1:8">
      <c r="A53" t="s">
        <v>82</v>
      </c>
      <c r="B53" s="5">
        <v>-26</v>
      </c>
      <c r="C53" s="5">
        <v>-26</v>
      </c>
      <c r="E53">
        <v>-37</v>
      </c>
      <c r="F53" t="s">
        <v>132</v>
      </c>
    </row>
    <row r="55" spans="1:8">
      <c r="A55" t="s">
        <v>85</v>
      </c>
    </row>
    <row r="57" spans="1:8">
      <c r="A57" t="s">
        <v>86</v>
      </c>
      <c r="B57" s="5">
        <v>17.57</v>
      </c>
      <c r="C57" s="5"/>
      <c r="D57" t="s">
        <v>90</v>
      </c>
      <c r="F57" t="s">
        <v>92</v>
      </c>
    </row>
    <row r="58" spans="1:8">
      <c r="A58" t="s">
        <v>87</v>
      </c>
      <c r="B58" s="5">
        <v>241.9</v>
      </c>
      <c r="C58" s="5"/>
      <c r="F58" t="s">
        <v>93</v>
      </c>
    </row>
    <row r="59" spans="1:8">
      <c r="A59" t="s">
        <v>88</v>
      </c>
      <c r="B59" s="5">
        <v>22.48</v>
      </c>
      <c r="C59" s="5"/>
      <c r="D59" t="s">
        <v>91</v>
      </c>
      <c r="F59" t="s">
        <v>94</v>
      </c>
    </row>
    <row r="60" spans="1:8">
      <c r="A60" t="s">
        <v>89</v>
      </c>
      <c r="B60" s="5">
        <v>273.14999999999998</v>
      </c>
      <c r="C60" s="5"/>
    </row>
    <row r="62" spans="1:8">
      <c r="A62" t="s">
        <v>97</v>
      </c>
    </row>
    <row r="64" spans="1:8">
      <c r="A64" t="s">
        <v>98</v>
      </c>
      <c r="B64" s="5">
        <v>1.0319</v>
      </c>
      <c r="C64" s="5">
        <v>1.0319</v>
      </c>
      <c r="G64">
        <v>1.0285</v>
      </c>
      <c r="H64">
        <v>1.0319</v>
      </c>
    </row>
    <row r="65" spans="1:8">
      <c r="A65" t="s">
        <v>99</v>
      </c>
      <c r="B65" s="5">
        <v>1.0164</v>
      </c>
      <c r="C65" s="5">
        <v>1.0164</v>
      </c>
      <c r="G65">
        <v>1.0250999999999999</v>
      </c>
      <c r="H65">
        <v>1.0164</v>
      </c>
    </row>
    <row r="66" spans="1:8">
      <c r="A66" t="s">
        <v>100</v>
      </c>
      <c r="B66" s="5">
        <v>1.016399126752596</v>
      </c>
      <c r="C66" s="5">
        <v>1.016399126752596</v>
      </c>
      <c r="G66">
        <v>1.0146599999999999</v>
      </c>
      <c r="H66">
        <f>H64^0.518</f>
        <v>1.016399126752596</v>
      </c>
    </row>
    <row r="68" spans="1:8">
      <c r="A68" s="8" t="s">
        <v>111</v>
      </c>
    </row>
    <row r="69" spans="1:8">
      <c r="C69" t="s">
        <v>116</v>
      </c>
    </row>
    <row r="70" spans="1:8">
      <c r="A70" t="s">
        <v>112</v>
      </c>
      <c r="B70" s="5">
        <v>-56.93</v>
      </c>
      <c r="C70" s="5">
        <v>5</v>
      </c>
      <c r="D70" t="s">
        <v>117</v>
      </c>
      <c r="E70" s="9" t="s">
        <v>119</v>
      </c>
      <c r="F70" t="s">
        <v>117</v>
      </c>
    </row>
    <row r="71" spans="1:8">
      <c r="A71" t="s">
        <v>113</v>
      </c>
      <c r="B71" s="5">
        <v>-440.1</v>
      </c>
      <c r="C71" s="5">
        <v>10</v>
      </c>
      <c r="D71" t="s">
        <v>117</v>
      </c>
      <c r="E71" s="9" t="s">
        <v>119</v>
      </c>
      <c r="F71" t="s">
        <v>117</v>
      </c>
    </row>
    <row r="72" spans="1:8">
      <c r="A72" t="s">
        <v>114</v>
      </c>
      <c r="B72" s="10">
        <f>B71-8*B70</f>
        <v>15.339999999999975</v>
      </c>
      <c r="C72" s="5">
        <v>5</v>
      </c>
      <c r="D72" t="s">
        <v>117</v>
      </c>
      <c r="E72" s="9" t="s">
        <v>119</v>
      </c>
      <c r="F72" t="s">
        <v>117</v>
      </c>
    </row>
    <row r="73" spans="1:8">
      <c r="A73" t="s">
        <v>130</v>
      </c>
      <c r="B73" s="10">
        <f>LN(B71/1000+1)*1000-(-0.0285*(LN(B70/1000+1)*1000)^2+8.47*LN(B70/1000+1)*1000)</f>
        <v>14.387195754849813</v>
      </c>
      <c r="C73" s="5">
        <v>5</v>
      </c>
      <c r="E73" s="9"/>
    </row>
    <row r="74" spans="1:8">
      <c r="A74" t="s">
        <v>115</v>
      </c>
      <c r="B74" s="5">
        <v>15</v>
      </c>
      <c r="C74" s="5">
        <v>10</v>
      </c>
      <c r="D74" t="s">
        <v>118</v>
      </c>
      <c r="E74" s="9" t="s">
        <v>119</v>
      </c>
      <c r="F74" t="s">
        <v>118</v>
      </c>
    </row>
    <row r="75" spans="1:8">
      <c r="A75" t="s">
        <v>120</v>
      </c>
      <c r="B75" s="5">
        <v>10</v>
      </c>
      <c r="C75" s="5">
        <v>100</v>
      </c>
      <c r="D75" t="s">
        <v>121</v>
      </c>
      <c r="E75" s="9" t="s">
        <v>119</v>
      </c>
      <c r="F75" s="9" t="s">
        <v>122</v>
      </c>
    </row>
    <row r="76" spans="1:8">
      <c r="A76" t="s">
        <v>123</v>
      </c>
      <c r="B76" s="5">
        <v>-9.5000000000000001E-2</v>
      </c>
      <c r="C76" s="5">
        <v>100</v>
      </c>
      <c r="D76" t="s">
        <v>124</v>
      </c>
      <c r="E76" s="9" t="s">
        <v>119</v>
      </c>
      <c r="F76" s="9" t="s">
        <v>122</v>
      </c>
    </row>
    <row r="77" spans="1:8">
      <c r="A77" t="s">
        <v>125</v>
      </c>
      <c r="B77" s="5">
        <v>0.216</v>
      </c>
      <c r="C77" s="5">
        <v>100</v>
      </c>
      <c r="D77" t="s">
        <v>126</v>
      </c>
      <c r="E77" s="9" t="s">
        <v>119</v>
      </c>
      <c r="F77" s="9" t="s">
        <v>122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1476-E90F-43DB-BA0A-1BD6C166B92F}">
  <dimension ref="A2:B22"/>
  <sheetViews>
    <sheetView topLeftCell="A9" workbookViewId="0">
      <selection activeCell="B21" sqref="B21"/>
    </sheetView>
  </sheetViews>
  <sheetFormatPr defaultRowHeight="14.5"/>
  <sheetData>
    <row r="2" spans="1:2">
      <c r="A2" t="s">
        <v>32</v>
      </c>
    </row>
    <row r="3" spans="1:2">
      <c r="A3" t="s">
        <v>33</v>
      </c>
    </row>
    <row r="4" spans="1:2">
      <c r="A4" t="s">
        <v>43</v>
      </c>
      <c r="B4">
        <f>IF(input!J22="Majoube71", 1137,0)</f>
        <v>1137</v>
      </c>
    </row>
    <row r="5" spans="1:2">
      <c r="A5" t="s">
        <v>44</v>
      </c>
      <c r="B5">
        <f>IF(input!J22="Majoube71", 0.4156,0)</f>
        <v>0.41560000000000002</v>
      </c>
    </row>
    <row r="6" spans="1:2">
      <c r="A6" t="s">
        <v>45</v>
      </c>
      <c r="B6">
        <f>IF(input!J22="Majoube71", 0.002067,0)</f>
        <v>2.0669999999999998E-3</v>
      </c>
    </row>
    <row r="7" spans="1:2">
      <c r="A7" t="s">
        <v>34</v>
      </c>
    </row>
    <row r="8" spans="1:2">
      <c r="A8" t="s">
        <v>46</v>
      </c>
      <c r="B8">
        <f>IF(input!J22="Majoube71", 24844,0)</f>
        <v>24844</v>
      </c>
    </row>
    <row r="9" spans="1:2">
      <c r="A9" t="s">
        <v>47</v>
      </c>
      <c r="B9">
        <f>IF(input!J22="Majoube71", 76.248,0)</f>
        <v>76.248000000000005</v>
      </c>
    </row>
    <row r="10" spans="1:2">
      <c r="A10" t="s">
        <v>48</v>
      </c>
      <c r="B10">
        <f>IF(input!J22="Majoube71", 0.05,0)</f>
        <v>0.05</v>
      </c>
    </row>
    <row r="11" spans="1:2">
      <c r="A11" t="s">
        <v>54</v>
      </c>
    </row>
    <row r="12" spans="1:2">
      <c r="A12" t="s">
        <v>49</v>
      </c>
      <c r="B12">
        <f>IF(input!J30="Merlivat&amp;Nief", 15013,0)</f>
        <v>15013</v>
      </c>
    </row>
    <row r="13" spans="1:2">
      <c r="A13" t="s">
        <v>50</v>
      </c>
      <c r="B13">
        <f>IF(input!J30="Merlivat&amp;Nief", 0.09738,0)</f>
        <v>9.7379999999999994E-2</v>
      </c>
    </row>
    <row r="14" spans="1:2">
      <c r="A14" t="s">
        <v>65</v>
      </c>
    </row>
    <row r="15" spans="1:2">
      <c r="A15" t="s">
        <v>33</v>
      </c>
    </row>
    <row r="16" spans="1:2">
      <c r="A16" t="s">
        <v>55</v>
      </c>
      <c r="B16">
        <f>IF(input!J33="Ellehoj13",8312.5,(IF(input!J33="Merlivat&amp;Nief",0,0)))</f>
        <v>0</v>
      </c>
    </row>
    <row r="17" spans="1:2">
      <c r="A17" t="s">
        <v>56</v>
      </c>
      <c r="B17">
        <f>IF(input!J33="Ellehoj13",49.192,(IF(input!J33="Merlivat&amp;Nief",-11.839,0)))</f>
        <v>-11.839</v>
      </c>
    </row>
    <row r="18" spans="1:2">
      <c r="A18" t="s">
        <v>57</v>
      </c>
      <c r="B18">
        <f>IF(input!J33="Ellehoj13",0.0831,(IF(input!J33="Merlivat&amp;Nief",-0.028224,0)))</f>
        <v>-2.8223999999999999E-2</v>
      </c>
    </row>
    <row r="19" spans="1:2">
      <c r="A19" t="s">
        <v>34</v>
      </c>
    </row>
    <row r="20" spans="1:2">
      <c r="A20" t="s">
        <v>60</v>
      </c>
      <c r="B20">
        <f>IF(input!J33="Ellehoj13",48888,(IF(input!J33="Merlivat&amp;Nief",16288,0)))</f>
        <v>16288</v>
      </c>
    </row>
    <row r="21" spans="1:2">
      <c r="A21" t="s">
        <v>61</v>
      </c>
      <c r="B21">
        <f>IF(input!J33="Ellehoj13",203.1,(IF(input!J33="Merlivat&amp;Nief",0,0)))</f>
        <v>0</v>
      </c>
    </row>
    <row r="22" spans="1:2">
      <c r="A22" t="s">
        <v>62</v>
      </c>
      <c r="B22">
        <f>IF(input!J33="Ellehoj13",0.2133,(IF(input!J33="Merlivat&amp;Nief",-0.0945,0)))</f>
        <v>-9.4500000000000001E-2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input</vt:lpstr>
      <vt:lpstr>fractionation coefs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Екайкин</dc:creator>
  <cp:lastModifiedBy>Екайкин</cp:lastModifiedBy>
  <dcterms:created xsi:type="dcterms:W3CDTF">2023-01-10T10:37:45Z</dcterms:created>
  <dcterms:modified xsi:type="dcterms:W3CDTF">2024-02-08T12:05:50Z</dcterms:modified>
</cp:coreProperties>
</file>